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0455" windowHeight="71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S9" i="1"/>
  <c r="S20"/>
  <c r="U2"/>
  <c r="P5"/>
  <c r="Q5" s="1"/>
  <c r="L3"/>
  <c r="L4"/>
  <c r="L5"/>
  <c r="L6"/>
  <c r="L7"/>
  <c r="K7"/>
  <c r="K6"/>
  <c r="K5"/>
  <c r="K4"/>
  <c r="M4" s="1"/>
  <c r="K3"/>
  <c r="M5"/>
  <c r="M6"/>
  <c r="M7"/>
  <c r="M10"/>
  <c r="M11"/>
  <c r="M12"/>
  <c r="M13"/>
  <c r="M14"/>
  <c r="M15"/>
  <c r="M16"/>
  <c r="M17"/>
  <c r="M18"/>
  <c r="M19"/>
  <c r="M3"/>
  <c r="P6" s="1"/>
  <c r="Q6" s="1"/>
  <c r="L10"/>
  <c r="L11"/>
  <c r="L12"/>
  <c r="L13"/>
  <c r="L14"/>
  <c r="L15"/>
  <c r="L16"/>
  <c r="L17"/>
  <c r="L18"/>
  <c r="L19"/>
  <c r="K11"/>
  <c r="K12"/>
  <c r="K13"/>
  <c r="K14"/>
  <c r="K15"/>
  <c r="K16"/>
  <c r="K17"/>
  <c r="K18"/>
  <c r="K19"/>
  <c r="K10"/>
  <c r="G9"/>
  <c r="D3"/>
  <c r="D5" s="1"/>
  <c r="H9" s="1"/>
  <c r="P7" l="1"/>
  <c r="Q7" s="1"/>
  <c r="P9"/>
  <c r="Q9" s="1"/>
  <c r="P8"/>
  <c r="Q8" s="1"/>
  <c r="P10"/>
  <c r="Q10" s="1"/>
  <c r="H3"/>
  <c r="H4"/>
  <c r="H6"/>
  <c r="H8"/>
  <c r="H5"/>
  <c r="H7"/>
  <c r="G5"/>
  <c r="G7"/>
  <c r="G3"/>
  <c r="G4"/>
  <c r="G6"/>
  <c r="G8"/>
  <c r="Q11" l="1"/>
  <c r="U5" s="1"/>
  <c r="P11"/>
</calcChain>
</file>

<file path=xl/sharedStrings.xml><?xml version="1.0" encoding="utf-8"?>
<sst xmlns="http://schemas.openxmlformats.org/spreadsheetml/2006/main" count="127" uniqueCount="70">
  <si>
    <t>acres/year</t>
  </si>
  <si>
    <t>Basis</t>
  </si>
  <si>
    <t>Switchgrass</t>
  </si>
  <si>
    <t>Conversion:</t>
  </si>
  <si>
    <t>"Switchgrass Production in Iowa"</t>
  </si>
  <si>
    <t>Brummer, Burras, Duffy and Moore</t>
  </si>
  <si>
    <t>(On wiki)</t>
  </si>
  <si>
    <t>In Iowa</t>
  </si>
  <si>
    <t>tons/year</t>
  </si>
  <si>
    <t>tons/acre</t>
  </si>
  <si>
    <t>Source:</t>
  </si>
  <si>
    <t>Switchgrass Mass Fraction</t>
  </si>
  <si>
    <t>C</t>
  </si>
  <si>
    <t>H</t>
  </si>
  <si>
    <t>O</t>
  </si>
  <si>
    <t>N</t>
  </si>
  <si>
    <t>S</t>
  </si>
  <si>
    <t>Ash</t>
  </si>
  <si>
    <t>1st Cut</t>
  </si>
  <si>
    <t>2nd Cut</t>
  </si>
  <si>
    <t>Date:</t>
  </si>
  <si>
    <t>"Switchgrass Composition Methods"</t>
  </si>
  <si>
    <t>Laser</t>
  </si>
  <si>
    <t>Total</t>
  </si>
  <si>
    <t>1st cut</t>
  </si>
  <si>
    <t>2nd cut</t>
  </si>
  <si>
    <t>lb/year</t>
  </si>
  <si>
    <t>lb element/year</t>
  </si>
  <si>
    <t>lbmol/year</t>
  </si>
  <si>
    <t>Ash Composition</t>
  </si>
  <si>
    <t>Element</t>
  </si>
  <si>
    <t>Cl</t>
  </si>
  <si>
    <t>SiO2</t>
  </si>
  <si>
    <t>Al2O3</t>
  </si>
  <si>
    <t>Fe2O3</t>
  </si>
  <si>
    <t>MgO</t>
  </si>
  <si>
    <t>CaO</t>
  </si>
  <si>
    <t>Na2O</t>
  </si>
  <si>
    <t>K2O</t>
  </si>
  <si>
    <t>P2O5</t>
  </si>
  <si>
    <t>Ignition</t>
  </si>
  <si>
    <t>Elements</t>
  </si>
  <si>
    <t>&gt;=&gt;</t>
  </si>
  <si>
    <t>Syngas Composition</t>
  </si>
  <si>
    <t>CO2</t>
  </si>
  <si>
    <t>CO</t>
  </si>
  <si>
    <t>H2</t>
  </si>
  <si>
    <t>CH4</t>
  </si>
  <si>
    <t>C2H4</t>
  </si>
  <si>
    <t>C2H6</t>
  </si>
  <si>
    <t>HHV</t>
  </si>
  <si>
    <t>(MJ/Nm3)</t>
  </si>
  <si>
    <t>"The SilvaGas Process"</t>
  </si>
  <si>
    <t>Paiseley and Overend</t>
  </si>
  <si>
    <t>Mass Fract.</t>
  </si>
  <si>
    <t>Carbon Conversion</t>
  </si>
  <si>
    <t>%</t>
  </si>
  <si>
    <t>SynGas</t>
  </si>
  <si>
    <t>MW</t>
  </si>
  <si>
    <t>R (ft3atm/R lbmol)</t>
  </si>
  <si>
    <t>Temperature (R)</t>
  </si>
  <si>
    <t>P (atm)</t>
  </si>
  <si>
    <t>Volume (ft3)</t>
  </si>
  <si>
    <t>Ideal gas assumed</t>
  </si>
  <si>
    <t>g/m3</t>
  </si>
  <si>
    <t>Tar</t>
  </si>
  <si>
    <t>lb/ft3</t>
  </si>
  <si>
    <t>Gasification</t>
  </si>
  <si>
    <t>Higman, van der Burgt</t>
  </si>
  <si>
    <t>Tar in Syngas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</si>
</sst>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2" xfId="0" applyBorder="1"/>
    <xf numFmtId="0" fontId="1" fillId="0" borderId="2" xfId="0" applyFont="1" applyBorder="1"/>
    <xf numFmtId="0" fontId="0" fillId="0" borderId="3" xfId="0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16" fontId="0" fillId="0" borderId="0" xfId="0" applyNumberFormat="1" applyBorder="1"/>
    <xf numFmtId="16" fontId="0" fillId="0" borderId="8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7" xfId="0" applyFont="1" applyBorder="1"/>
    <xf numFmtId="0" fontId="0" fillId="0" borderId="4" xfId="0" applyBorder="1"/>
    <xf numFmtId="0" fontId="0" fillId="0" borderId="7" xfId="0" applyFill="1" applyBorder="1"/>
    <xf numFmtId="0" fontId="0" fillId="0" borderId="9" xfId="0" applyFill="1" applyBorder="1"/>
    <xf numFmtId="0" fontId="1" fillId="0" borderId="6" xfId="0" applyFont="1" applyBorder="1"/>
    <xf numFmtId="0" fontId="1" fillId="2" borderId="12" xfId="0" applyFont="1" applyFill="1" applyBorder="1"/>
    <xf numFmtId="0" fontId="0" fillId="2" borderId="23" xfId="0" applyFill="1" applyBorder="1"/>
    <xf numFmtId="0" fontId="0" fillId="2" borderId="14" xfId="0" applyFill="1" applyBorder="1"/>
    <xf numFmtId="0" fontId="0" fillId="2" borderId="15" xfId="0" applyFill="1" applyBorder="1"/>
    <xf numFmtId="0" fontId="0" fillId="2" borderId="13" xfId="0" applyFill="1" applyBorder="1"/>
    <xf numFmtId="0" fontId="0" fillId="2" borderId="16" xfId="0" applyFill="1" applyBorder="1"/>
    <xf numFmtId="0" fontId="1" fillId="2" borderId="17" xfId="0" applyFont="1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0" xfId="0" applyFill="1" applyBorder="1"/>
    <xf numFmtId="0" fontId="0" fillId="2" borderId="20" xfId="0" applyFill="1" applyBorder="1"/>
    <xf numFmtId="0" fontId="0" fillId="2" borderId="24" xfId="0" applyFill="1" applyBorder="1"/>
    <xf numFmtId="0" fontId="0" fillId="2" borderId="25" xfId="0" applyFill="1" applyBorder="1"/>
    <xf numFmtId="0" fontId="0" fillId="2" borderId="26" xfId="0" applyFill="1" applyBorder="1"/>
    <xf numFmtId="0" fontId="0" fillId="2" borderId="27" xfId="0" applyFill="1" applyBorder="1"/>
    <xf numFmtId="0" fontId="0" fillId="2" borderId="21" xfId="0" applyFill="1" applyBorder="1"/>
    <xf numFmtId="0" fontId="0" fillId="2" borderId="22" xfId="0" applyFill="1" applyBorder="1"/>
    <xf numFmtId="0" fontId="1" fillId="2" borderId="16" xfId="0" applyFont="1" applyFill="1" applyBorder="1"/>
    <xf numFmtId="0" fontId="1" fillId="2" borderId="18" xfId="0" applyFont="1" applyFill="1" applyBorder="1"/>
    <xf numFmtId="0" fontId="0" fillId="2" borderId="28" xfId="0" applyFill="1" applyBorder="1"/>
    <xf numFmtId="0" fontId="0" fillId="2" borderId="6" xfId="0" applyFill="1" applyBorder="1"/>
    <xf numFmtId="0" fontId="0" fillId="2" borderId="29" xfId="0" applyFill="1" applyBorder="1"/>
    <xf numFmtId="0" fontId="0" fillId="2" borderId="8" xfId="0" applyFill="1" applyBorder="1"/>
    <xf numFmtId="0" fontId="0" fillId="2" borderId="30" xfId="0" applyFill="1" applyBorder="1"/>
    <xf numFmtId="0" fontId="0" fillId="2" borderId="31" xfId="0" applyFill="1" applyBorder="1"/>
    <xf numFmtId="0" fontId="0" fillId="2" borderId="1" xfId="0" applyFill="1" applyBorder="1"/>
    <xf numFmtId="0" fontId="0" fillId="2" borderId="2" xfId="0" applyFill="1" applyBorder="1"/>
    <xf numFmtId="0" fontId="0" fillId="2" borderId="32" xfId="0" applyFill="1" applyBorder="1"/>
    <xf numFmtId="0" fontId="1" fillId="2" borderId="33" xfId="0" applyFont="1" applyFill="1" applyBorder="1"/>
    <xf numFmtId="0" fontId="0" fillId="2" borderId="3" xfId="0" applyFill="1" applyBorder="1"/>
    <xf numFmtId="0" fontId="0" fillId="0" borderId="4" xfId="0" applyFill="1" applyBorder="1"/>
    <xf numFmtId="0" fontId="0" fillId="2" borderId="34" xfId="0" applyFill="1" applyBorder="1"/>
    <xf numFmtId="0" fontId="0" fillId="2" borderId="35" xfId="0" applyFill="1" applyBorder="1"/>
    <xf numFmtId="0" fontId="0" fillId="2" borderId="36" xfId="0" applyFill="1" applyBorder="1"/>
    <xf numFmtId="0" fontId="0" fillId="2" borderId="37" xfId="0" applyFill="1" applyBorder="1"/>
    <xf numFmtId="0" fontId="0" fillId="2" borderId="38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6"/>
  <sheetViews>
    <sheetView tabSelected="1" topLeftCell="G1" workbookViewId="0">
      <selection activeCell="R11" sqref="R11"/>
    </sheetView>
  </sheetViews>
  <sheetFormatPr defaultRowHeight="15"/>
  <cols>
    <col min="2" max="2" width="11" customWidth="1"/>
    <col min="3" max="3" width="20.28515625" customWidth="1"/>
    <col min="4" max="4" width="10.5703125" customWidth="1"/>
    <col min="7" max="8" width="11" bestFit="1" customWidth="1"/>
    <col min="11" max="11" width="10" bestFit="1" customWidth="1"/>
    <col min="13" max="13" width="10" bestFit="1" customWidth="1"/>
    <col min="16" max="16" width="11" bestFit="1" customWidth="1"/>
    <col min="17" max="17" width="12" bestFit="1" customWidth="1"/>
    <col min="19" max="19" width="11" bestFit="1" customWidth="1"/>
  </cols>
  <sheetData>
    <row r="1" spans="2:21" ht="15.75" thickBot="1">
      <c r="B1" s="22" t="s">
        <v>1</v>
      </c>
      <c r="F1" s="27"/>
      <c r="G1" s="28" t="s">
        <v>27</v>
      </c>
      <c r="H1" s="29"/>
      <c r="J1" s="39" t="s">
        <v>41</v>
      </c>
      <c r="K1" s="28" t="s">
        <v>28</v>
      </c>
      <c r="L1" s="29"/>
      <c r="M1" s="29"/>
      <c r="O1" s="18" t="s">
        <v>55</v>
      </c>
      <c r="P1" s="8"/>
    </row>
    <row r="2" spans="2:21">
      <c r="B2" s="23" t="s">
        <v>2</v>
      </c>
      <c r="D2" s="22" t="s">
        <v>2</v>
      </c>
      <c r="F2" s="30"/>
      <c r="G2" s="31" t="s">
        <v>24</v>
      </c>
      <c r="H2" s="32" t="s">
        <v>25</v>
      </c>
      <c r="J2" s="30"/>
      <c r="K2" s="31" t="s">
        <v>24</v>
      </c>
      <c r="L2" s="32" t="s">
        <v>25</v>
      </c>
      <c r="M2" s="32" t="s">
        <v>23</v>
      </c>
      <c r="O2" s="14">
        <v>100</v>
      </c>
      <c r="P2" s="16" t="s">
        <v>56</v>
      </c>
      <c r="S2" s="52" t="s">
        <v>60</v>
      </c>
      <c r="T2" s="7"/>
      <c r="U2" s="8">
        <f>((800*9/5)+32)+459.67</f>
        <v>1931.67</v>
      </c>
    </row>
    <row r="3" spans="2:21" ht="15.75" thickBot="1">
      <c r="B3" s="24">
        <v>1000000</v>
      </c>
      <c r="C3" s="1" t="s">
        <v>42</v>
      </c>
      <c r="D3" s="24">
        <f>B3*C12</f>
        <v>6000000</v>
      </c>
      <c r="E3" s="1" t="s">
        <v>42</v>
      </c>
      <c r="F3" s="33" t="s">
        <v>12</v>
      </c>
      <c r="G3" s="47">
        <f>G$9*F14</f>
        <v>2979600000</v>
      </c>
      <c r="H3" s="34">
        <f>H$9*G14</f>
        <v>2875200000</v>
      </c>
      <c r="I3" s="1" t="s">
        <v>42</v>
      </c>
      <c r="J3" s="33" t="s">
        <v>12</v>
      </c>
      <c r="K3" s="47">
        <f>G3/$B$21</f>
        <v>248300000</v>
      </c>
      <c r="L3" s="34">
        <f>H3/$B$21</f>
        <v>239600000</v>
      </c>
      <c r="M3" s="34">
        <f>L3+K3</f>
        <v>487900000</v>
      </c>
      <c r="N3" t="s">
        <v>42</v>
      </c>
      <c r="R3" t="s">
        <v>42</v>
      </c>
      <c r="S3" s="19" t="s">
        <v>59</v>
      </c>
      <c r="T3" s="10"/>
      <c r="U3" s="11">
        <v>0.73024129999999998</v>
      </c>
    </row>
    <row r="4" spans="2:21" ht="15.75" thickBot="1">
      <c r="B4" s="25" t="s">
        <v>0</v>
      </c>
      <c r="D4" s="26" t="s">
        <v>8</v>
      </c>
      <c r="F4" s="30" t="s">
        <v>13</v>
      </c>
      <c r="G4" s="48">
        <f>G$9*F15</f>
        <v>386400000</v>
      </c>
      <c r="H4" s="32">
        <f>H$9*G15</f>
        <v>384600000</v>
      </c>
      <c r="J4" s="30" t="s">
        <v>13</v>
      </c>
      <c r="K4" s="48">
        <f>G4/$B$22</f>
        <v>386400000</v>
      </c>
      <c r="L4" s="32">
        <f>H4/$B$22</f>
        <v>384600000</v>
      </c>
      <c r="M4" s="32">
        <f t="shared" ref="M4:M19" si="0">L4+K4</f>
        <v>771000000</v>
      </c>
      <c r="O4" s="39" t="s">
        <v>57</v>
      </c>
      <c r="P4" s="40" t="s">
        <v>26</v>
      </c>
      <c r="Q4" s="40" t="s">
        <v>28</v>
      </c>
      <c r="S4" s="19" t="s">
        <v>61</v>
      </c>
      <c r="T4" s="10"/>
      <c r="U4" s="11">
        <v>1</v>
      </c>
    </row>
    <row r="5" spans="2:21" ht="15.75" thickBot="1">
      <c r="D5" s="24">
        <f>D3*2000</f>
        <v>12000000000</v>
      </c>
      <c r="F5" s="30" t="s">
        <v>14</v>
      </c>
      <c r="G5" s="48">
        <f>G$9*F16</f>
        <v>2161800000</v>
      </c>
      <c r="H5" s="32">
        <f>H$9*G16</f>
        <v>2189400000</v>
      </c>
      <c r="J5" s="30" t="s">
        <v>14</v>
      </c>
      <c r="K5" s="48">
        <f>G5/$B$23</f>
        <v>135112500</v>
      </c>
      <c r="L5" s="32">
        <f>H5/$B$23</f>
        <v>136837500</v>
      </c>
      <c r="M5" s="32">
        <f t="shared" si="0"/>
        <v>271950000</v>
      </c>
      <c r="O5" s="30" t="s">
        <v>44</v>
      </c>
      <c r="P5" s="41">
        <f>M3*$B$21*P21/100*O2/100</f>
        <v>714285600</v>
      </c>
      <c r="Q5" s="42">
        <f>P5/($B$21+2*$B23)</f>
        <v>16233763.636363637</v>
      </c>
      <c r="S5" s="54" t="s">
        <v>62</v>
      </c>
      <c r="T5" s="53"/>
      <c r="U5" s="55">
        <f>U3*U2*Q11/U4</f>
        <v>1159806694973.2927</v>
      </c>
    </row>
    <row r="6" spans="2:21" ht="15.75" thickBot="1">
      <c r="D6" s="25" t="s">
        <v>26</v>
      </c>
      <c r="F6" s="30" t="s">
        <v>15</v>
      </c>
      <c r="G6" s="48">
        <f>G$9*F17</f>
        <v>4800000</v>
      </c>
      <c r="H6" s="32">
        <f>H$9*G17</f>
        <v>81600000</v>
      </c>
      <c r="J6" s="30" t="s">
        <v>15</v>
      </c>
      <c r="K6" s="48">
        <f>G6/$B$24</f>
        <v>342857.14285714284</v>
      </c>
      <c r="L6" s="32">
        <f>H6/$B$24</f>
        <v>5828571.4285714282</v>
      </c>
      <c r="M6" s="32">
        <f t="shared" si="0"/>
        <v>6171428.5714285709</v>
      </c>
      <c r="O6" s="30" t="s">
        <v>45</v>
      </c>
      <c r="P6" s="43">
        <f>P5/P21*P22</f>
        <v>2599531200</v>
      </c>
      <c r="Q6" s="44">
        <f>P6/($B$21+$B$23)</f>
        <v>92840400</v>
      </c>
      <c r="S6" s="20" t="s">
        <v>63</v>
      </c>
      <c r="T6" s="15"/>
      <c r="U6" s="16"/>
    </row>
    <row r="7" spans="2:21" ht="15.75" thickBot="1">
      <c r="F7" s="30" t="s">
        <v>16</v>
      </c>
      <c r="G7" s="48">
        <f>G$9*F18</f>
        <v>0</v>
      </c>
      <c r="H7" s="32">
        <f>H$9*G18</f>
        <v>2400000</v>
      </c>
      <c r="J7" s="37" t="s">
        <v>16</v>
      </c>
      <c r="K7" s="49">
        <f>G7/$B$25</f>
        <v>0</v>
      </c>
      <c r="L7" s="38">
        <f>H7/$B$25</f>
        <v>75000</v>
      </c>
      <c r="M7" s="32">
        <f t="shared" si="0"/>
        <v>75000</v>
      </c>
      <c r="O7" s="30" t="s">
        <v>46</v>
      </c>
      <c r="P7" s="43">
        <f>P5/P21*P23</f>
        <v>1288056000</v>
      </c>
      <c r="Q7" s="44">
        <f>P7/($B$22*2)</f>
        <v>644028000</v>
      </c>
    </row>
    <row r="8" spans="2:21">
      <c r="F8" s="35" t="s">
        <v>17</v>
      </c>
      <c r="G8" s="51">
        <f>G$9*F19</f>
        <v>466799999.99999994</v>
      </c>
      <c r="H8" s="36">
        <f>H$9*G19</f>
        <v>466799999.99999994</v>
      </c>
      <c r="J8" s="39" t="s">
        <v>17</v>
      </c>
      <c r="K8" s="50" t="s">
        <v>26</v>
      </c>
      <c r="L8" s="29"/>
      <c r="M8" s="29"/>
      <c r="O8" s="30" t="s">
        <v>47</v>
      </c>
      <c r="P8" s="43">
        <f>P5/P21*P24</f>
        <v>913348800</v>
      </c>
      <c r="Q8" s="44">
        <f>P8/($B$21+4*$B$22)</f>
        <v>57084300</v>
      </c>
      <c r="S8" s="39" t="s">
        <v>69</v>
      </c>
      <c r="T8" s="29"/>
    </row>
    <row r="9" spans="2:21" ht="15.75" thickBot="1">
      <c r="F9" s="37" t="s">
        <v>23</v>
      </c>
      <c r="G9" s="51">
        <f>D5*0.5</f>
        <v>6000000000</v>
      </c>
      <c r="H9" s="38">
        <f>D5*0.5</f>
        <v>6000000000</v>
      </c>
      <c r="J9" s="30"/>
      <c r="K9" s="48" t="s">
        <v>24</v>
      </c>
      <c r="L9" s="32" t="s">
        <v>25</v>
      </c>
      <c r="M9" s="32"/>
      <c r="O9" s="30" t="s">
        <v>48</v>
      </c>
      <c r="P9" s="43">
        <f>P5/P21*P25</f>
        <v>298594800</v>
      </c>
      <c r="Q9" s="44">
        <f>P9/($B$21*2+$B$22*4)</f>
        <v>10664100</v>
      </c>
      <c r="S9" s="56">
        <f>S20*U5</f>
        <v>1157951004.2613354</v>
      </c>
      <c r="T9" s="57" t="s">
        <v>26</v>
      </c>
    </row>
    <row r="10" spans="2:21">
      <c r="J10" s="30" t="s">
        <v>31</v>
      </c>
      <c r="K10" s="48">
        <f>$J23*G$8</f>
        <v>2333999.9999999995</v>
      </c>
      <c r="L10" s="32">
        <f>$J23*H$8</f>
        <v>2333999.9999999995</v>
      </c>
      <c r="M10" s="32">
        <f t="shared" si="0"/>
        <v>4667999.9999999991</v>
      </c>
      <c r="O10" s="35" t="s">
        <v>49</v>
      </c>
      <c r="P10" s="45">
        <f>P5/P21*P26</f>
        <v>40983600</v>
      </c>
      <c r="Q10" s="46">
        <f>P10/($B$21*2+$B$22*6)</f>
        <v>1366120</v>
      </c>
    </row>
    <row r="11" spans="2:21" ht="15.75" thickBot="1">
      <c r="C11" s="2" t="s">
        <v>3</v>
      </c>
      <c r="E11" s="6" t="s">
        <v>11</v>
      </c>
      <c r="F11" s="7"/>
      <c r="G11" s="8"/>
      <c r="J11" s="30" t="s">
        <v>32</v>
      </c>
      <c r="K11" s="48">
        <f>$J24*G$8</f>
        <v>265282439.99999997</v>
      </c>
      <c r="L11" s="32">
        <f>$J24*H$8</f>
        <v>265282439.99999997</v>
      </c>
      <c r="M11" s="32">
        <f t="shared" si="0"/>
        <v>530564879.99999994</v>
      </c>
      <c r="O11" s="37" t="s">
        <v>23</v>
      </c>
      <c r="P11" s="38">
        <f>SUM(P5:P10)</f>
        <v>5854800000</v>
      </c>
      <c r="Q11" s="38">
        <f>SUM(Q5:Q10)</f>
        <v>822216683.63636363</v>
      </c>
    </row>
    <row r="12" spans="2:21">
      <c r="C12" s="3">
        <v>6</v>
      </c>
      <c r="E12" s="9"/>
      <c r="F12" s="10" t="s">
        <v>18</v>
      </c>
      <c r="G12" s="11" t="s">
        <v>19</v>
      </c>
      <c r="J12" s="30" t="s">
        <v>33</v>
      </c>
      <c r="K12" s="48">
        <f>$J25*G$8</f>
        <v>3734399.9999999995</v>
      </c>
      <c r="L12" s="32">
        <f>$J25*H$8</f>
        <v>3734399.9999999995</v>
      </c>
      <c r="M12" s="32">
        <f t="shared" si="0"/>
        <v>7468799.9999999991</v>
      </c>
    </row>
    <row r="13" spans="2:21">
      <c r="C13" s="3" t="s">
        <v>9</v>
      </c>
      <c r="E13" s="9" t="s">
        <v>20</v>
      </c>
      <c r="F13" s="12">
        <v>39979</v>
      </c>
      <c r="G13" s="13">
        <v>40118</v>
      </c>
      <c r="J13" s="30" t="s">
        <v>34</v>
      </c>
      <c r="K13" s="48">
        <f>$J26*G$8</f>
        <v>1727159.9999999998</v>
      </c>
      <c r="L13" s="32">
        <f>$J26*H$8</f>
        <v>1727159.9999999998</v>
      </c>
      <c r="M13" s="32">
        <f t="shared" si="0"/>
        <v>3454319.9999999995</v>
      </c>
    </row>
    <row r="14" spans="2:21">
      <c r="C14" s="3" t="s">
        <v>7</v>
      </c>
      <c r="E14" s="9" t="s">
        <v>12</v>
      </c>
      <c r="F14" s="10">
        <v>0.49659999999999999</v>
      </c>
      <c r="G14" s="11">
        <v>0.47920000000000001</v>
      </c>
      <c r="J14" s="30" t="s">
        <v>35</v>
      </c>
      <c r="K14" s="48">
        <f>$J27*G$8</f>
        <v>22313040</v>
      </c>
      <c r="L14" s="32">
        <f>$J27*H$8</f>
        <v>22313040</v>
      </c>
      <c r="M14" s="32">
        <f t="shared" si="0"/>
        <v>44626080</v>
      </c>
    </row>
    <row r="15" spans="2:21">
      <c r="C15" s="4" t="s">
        <v>10</v>
      </c>
      <c r="E15" s="9" t="s">
        <v>13</v>
      </c>
      <c r="F15" s="10">
        <v>6.4399999999999999E-2</v>
      </c>
      <c r="G15" s="11">
        <v>6.4100000000000004E-2</v>
      </c>
      <c r="J15" s="30" t="s">
        <v>36</v>
      </c>
      <c r="K15" s="48">
        <f>$J28*G$8</f>
        <v>51581399.999999993</v>
      </c>
      <c r="L15" s="32">
        <f>$J28*H$8</f>
        <v>51581399.999999993</v>
      </c>
      <c r="M15" s="32">
        <f t="shared" si="0"/>
        <v>103162799.99999999</v>
      </c>
    </row>
    <row r="16" spans="2:21">
      <c r="C16" s="3" t="s">
        <v>4</v>
      </c>
      <c r="E16" s="9" t="s">
        <v>14</v>
      </c>
      <c r="F16" s="10">
        <v>0.36030000000000001</v>
      </c>
      <c r="G16" s="11">
        <v>0.3649</v>
      </c>
      <c r="J16" s="30" t="s">
        <v>37</v>
      </c>
      <c r="K16" s="48">
        <f>$J29*G$8</f>
        <v>1400399.9999999998</v>
      </c>
      <c r="L16" s="32">
        <f>$J29*H$8</f>
        <v>1400399.9999999998</v>
      </c>
      <c r="M16" s="32">
        <f t="shared" si="0"/>
        <v>2800799.9999999995</v>
      </c>
    </row>
    <row r="17" spans="1:20">
      <c r="C17" s="3" t="s">
        <v>5</v>
      </c>
      <c r="E17" s="9" t="s">
        <v>15</v>
      </c>
      <c r="F17" s="10">
        <v>8.0000000000000004E-4</v>
      </c>
      <c r="G17" s="11">
        <v>1.3599999999999999E-2</v>
      </c>
      <c r="J17" s="30" t="s">
        <v>38</v>
      </c>
      <c r="K17" s="48">
        <f>$J30*G$8</f>
        <v>42292079.999999993</v>
      </c>
      <c r="L17" s="32">
        <f>$J30*H$8</f>
        <v>42292079.999999993</v>
      </c>
      <c r="M17" s="32">
        <f t="shared" si="0"/>
        <v>84584159.999999985</v>
      </c>
    </row>
    <row r="18" spans="1:20">
      <c r="C18" s="5" t="s">
        <v>6</v>
      </c>
      <c r="E18" s="9" t="s">
        <v>16</v>
      </c>
      <c r="F18" s="10">
        <v>0</v>
      </c>
      <c r="G18" s="11">
        <v>4.0000000000000002E-4</v>
      </c>
      <c r="J18" s="30" t="s">
        <v>39</v>
      </c>
      <c r="K18" s="48">
        <f>$J31*G$8</f>
        <v>25533959.999999996</v>
      </c>
      <c r="L18" s="32">
        <f>$J31*H$8</f>
        <v>25533959.999999996</v>
      </c>
      <c r="M18" s="32">
        <f t="shared" si="0"/>
        <v>51067919.999999993</v>
      </c>
      <c r="S18" s="6" t="s">
        <v>65</v>
      </c>
      <c r="T18" s="8"/>
    </row>
    <row r="19" spans="1:20" ht="15.75" thickBot="1">
      <c r="E19" s="9" t="s">
        <v>17</v>
      </c>
      <c r="F19" s="10">
        <v>7.7799999999999994E-2</v>
      </c>
      <c r="G19" s="11">
        <v>7.7799999999999994E-2</v>
      </c>
      <c r="J19" s="37" t="s">
        <v>40</v>
      </c>
      <c r="K19" s="51">
        <f>$J32*G$8</f>
        <v>50180999.999999993</v>
      </c>
      <c r="L19" s="38">
        <f>$J32*H$8</f>
        <v>50180999.999999993</v>
      </c>
      <c r="M19" s="38">
        <f t="shared" si="0"/>
        <v>100361999.99999999</v>
      </c>
      <c r="O19" s="6" t="s">
        <v>43</v>
      </c>
      <c r="P19" s="8"/>
      <c r="S19" s="9">
        <v>16</v>
      </c>
      <c r="T19" s="11" t="s">
        <v>64</v>
      </c>
    </row>
    <row r="20" spans="1:20">
      <c r="A20" s="18"/>
      <c r="B20" s="21" t="s">
        <v>58</v>
      </c>
      <c r="E20" s="17" t="s">
        <v>10</v>
      </c>
      <c r="F20" s="10"/>
      <c r="G20" s="11"/>
      <c r="O20" s="9"/>
      <c r="P20" s="11" t="s">
        <v>54</v>
      </c>
      <c r="S20" s="14">
        <f>S19*0.0000624</f>
        <v>9.9839999999999998E-4</v>
      </c>
      <c r="T20" s="16" t="s">
        <v>66</v>
      </c>
    </row>
    <row r="21" spans="1:20">
      <c r="A21" s="9" t="s">
        <v>12</v>
      </c>
      <c r="B21" s="11">
        <v>12</v>
      </c>
      <c r="E21" s="9" t="s">
        <v>21</v>
      </c>
      <c r="F21" s="10"/>
      <c r="G21" s="11"/>
      <c r="I21" s="6" t="s">
        <v>29</v>
      </c>
      <c r="J21" s="8"/>
      <c r="O21" s="9" t="s">
        <v>44</v>
      </c>
      <c r="P21" s="11">
        <v>12.2</v>
      </c>
      <c r="S21" s="17" t="s">
        <v>10</v>
      </c>
      <c r="T21" s="11"/>
    </row>
    <row r="22" spans="1:20">
      <c r="A22" s="9" t="s">
        <v>13</v>
      </c>
      <c r="B22" s="11">
        <v>1</v>
      </c>
      <c r="E22" s="9" t="s">
        <v>22</v>
      </c>
      <c r="F22" s="10"/>
      <c r="G22" s="11"/>
      <c r="I22" s="9" t="s">
        <v>30</v>
      </c>
      <c r="J22" s="11"/>
      <c r="O22" s="9" t="s">
        <v>45</v>
      </c>
      <c r="P22" s="11">
        <v>44.4</v>
      </c>
      <c r="S22" s="9" t="s">
        <v>67</v>
      </c>
      <c r="T22" s="11"/>
    </row>
    <row r="23" spans="1:20">
      <c r="A23" s="9" t="s">
        <v>14</v>
      </c>
      <c r="B23" s="11">
        <v>16</v>
      </c>
      <c r="E23" s="14" t="s">
        <v>6</v>
      </c>
      <c r="F23" s="15"/>
      <c r="G23" s="16"/>
      <c r="I23" s="9" t="s">
        <v>31</v>
      </c>
      <c r="J23" s="11">
        <v>5.0000000000000001E-3</v>
      </c>
      <c r="O23" s="9" t="s">
        <v>46</v>
      </c>
      <c r="P23" s="11">
        <v>22</v>
      </c>
      <c r="S23" s="14" t="s">
        <v>68</v>
      </c>
      <c r="T23" s="16"/>
    </row>
    <row r="24" spans="1:20">
      <c r="A24" s="9" t="s">
        <v>15</v>
      </c>
      <c r="B24" s="11">
        <v>14</v>
      </c>
      <c r="I24" s="9" t="s">
        <v>32</v>
      </c>
      <c r="J24" s="11">
        <v>0.56830000000000003</v>
      </c>
      <c r="O24" s="9" t="s">
        <v>47</v>
      </c>
      <c r="P24" s="11">
        <v>15.6</v>
      </c>
    </row>
    <row r="25" spans="1:20">
      <c r="A25" s="14" t="s">
        <v>16</v>
      </c>
      <c r="B25" s="16">
        <v>32</v>
      </c>
      <c r="I25" s="9" t="s">
        <v>33</v>
      </c>
      <c r="J25" s="11">
        <v>8.0000000000000002E-3</v>
      </c>
      <c r="O25" s="9" t="s">
        <v>48</v>
      </c>
      <c r="P25" s="11">
        <v>5.0999999999999996</v>
      </c>
    </row>
    <row r="26" spans="1:20">
      <c r="I26" s="9" t="s">
        <v>34</v>
      </c>
      <c r="J26" s="11">
        <v>3.7000000000000002E-3</v>
      </c>
      <c r="O26" s="9" t="s">
        <v>49</v>
      </c>
      <c r="P26" s="11">
        <v>0.7</v>
      </c>
    </row>
    <row r="27" spans="1:20">
      <c r="I27" s="9" t="s">
        <v>35</v>
      </c>
      <c r="J27" s="11">
        <v>4.7800000000000002E-2</v>
      </c>
      <c r="O27" s="9" t="s">
        <v>50</v>
      </c>
      <c r="P27" s="11"/>
    </row>
    <row r="28" spans="1:20">
      <c r="I28" s="9" t="s">
        <v>36</v>
      </c>
      <c r="J28" s="11">
        <v>0.1105</v>
      </c>
      <c r="O28" s="14"/>
      <c r="P28" s="16" t="s">
        <v>51</v>
      </c>
    </row>
    <row r="29" spans="1:20">
      <c r="I29" s="9" t="s">
        <v>37</v>
      </c>
      <c r="J29" s="11">
        <v>3.0000000000000001E-3</v>
      </c>
      <c r="O29" s="17" t="s">
        <v>10</v>
      </c>
      <c r="P29" s="11"/>
    </row>
    <row r="30" spans="1:20">
      <c r="I30" s="9" t="s">
        <v>38</v>
      </c>
      <c r="J30" s="11">
        <v>9.06E-2</v>
      </c>
      <c r="O30" s="9" t="s">
        <v>52</v>
      </c>
      <c r="P30" s="11"/>
    </row>
    <row r="31" spans="1:20">
      <c r="I31" s="9" t="s">
        <v>39</v>
      </c>
      <c r="J31" s="11">
        <v>5.4699999999999999E-2</v>
      </c>
      <c r="O31" s="9" t="s">
        <v>53</v>
      </c>
      <c r="P31" s="11"/>
    </row>
    <row r="32" spans="1:20">
      <c r="I32" s="14" t="s">
        <v>40</v>
      </c>
      <c r="J32" s="16">
        <v>0.1075</v>
      </c>
      <c r="O32" s="20" t="s">
        <v>6</v>
      </c>
      <c r="P32" s="16"/>
    </row>
    <row r="33" spans="9:10">
      <c r="I33" s="17" t="s">
        <v>10</v>
      </c>
      <c r="J33" s="11"/>
    </row>
    <row r="34" spans="9:10">
      <c r="I34" s="9" t="s">
        <v>21</v>
      </c>
      <c r="J34" s="11"/>
    </row>
    <row r="35" spans="9:10">
      <c r="I35" s="9" t="s">
        <v>22</v>
      </c>
      <c r="J35" s="11"/>
    </row>
    <row r="36" spans="9:10">
      <c r="I36" s="14" t="s">
        <v>6</v>
      </c>
      <c r="J36" s="16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James O'Brien</dc:creator>
  <cp:lastModifiedBy>Tim James O'Brien</cp:lastModifiedBy>
  <dcterms:created xsi:type="dcterms:W3CDTF">2009-02-07T19:18:50Z</dcterms:created>
  <dcterms:modified xsi:type="dcterms:W3CDTF">2009-02-07T20:48:09Z</dcterms:modified>
</cp:coreProperties>
</file>